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<sst xmlns="http://schemas.openxmlformats.org/spreadsheetml/2006/main" count="816" uniqueCount="228">
  <si>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</si>
  <si>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</si>
  <si>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</si>
  <si>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</si>
  <si>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</si>
  <si>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</si>
  <si>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</si>
  <si>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</si>
  <si>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</si>
  <si>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</si>
  <si>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</si>
  <si>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</si>
  <si>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</si>
  <si>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</si>
  <si>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</si>
  <si>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</si>
  <si>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</si>
  <si>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</si>
  <si>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</si>
  <si>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</si>
  <si>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</si>
  <si>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</si>
  <si>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</si>
  <si>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</si>
  <si>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</si>
  <si>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</si>
  <si>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</si>
  <si>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</si>
  <si>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</si>
  <si>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</si>
  <si>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</si>
  <si>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</si>
  <si>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</si>
  <si>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</si>
  <si>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</si>
  <si>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</si>
  <si>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</si>
  <si>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</si>
  <si>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</si>
  <si>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</si>
  <si>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</si>
  <si>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</si>
  <si>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</si>
  <si>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</si>
  <si>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</si>
  <si>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</si>
  <si>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</si>
  <si>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</si>
  <si>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</si>
  <si>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</si>
  <si>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</si>
  <si>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</si>
  <si>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</si>
  <si>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</si>
  <si>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</si>
  <si>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</si>
  <si>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</si>
  <si>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</si>
  <si>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</si>
  <si>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</si>
  <si>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</si>
  <si>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</si>
  <si>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</si>
  <si>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</si>
  <si>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</si>
  <si>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</si>
  <si>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</si>
  <si>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</si>
  <si>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</si>
  <si>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</si>
  <si>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</si>
  <si>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</si>
  <si>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</si>
  <si>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</si>
  <si>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</si>
  <si>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</si>
  <si>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</si>
  <si>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</si>
  <si>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</si>
  <si>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</si>
  <si>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</si>
  <si>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</si>
  <si>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</si>
  <si>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</si>
  <si>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</si>
  <si>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</si>
  <si>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</si>
  <si>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</si>
  <si>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</si>
  <si>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</si>
  <si>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</si>
  <si>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</si>
  <si>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</si>
  <si>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</si>
  <si>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</si>
  <si>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</si>
  <si>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</si>
  <si>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</si>
  <si>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</si>
  <si>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</si>
  <si>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</si>
  <si>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</si>
  <si>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</si>
  <si>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</si>
  <si>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</si>
  <si>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</si>
  <si>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</si>
  <si>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</si>
  <si>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</si>
  <si>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</si>
  <si>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</si>
  <si>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</si>
  <si>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</si>
  <si>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</si>
  <si>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</si>
  <si>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</si>
  <si>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</si>
  <si>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</si>
  <si>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</si>
  <si>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</si>
  <si>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</si>
  <si>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</si>
  <si>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</si>
  <si>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</si>
  <si>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</si>
  <si>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</si>
  <si>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</si>
  <si>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</si>
  <si>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</si>
  <si>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</si>
  <si>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</si>
  <si>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</si>
  <si>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</si>
  <si>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</si>
  <si>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</si>
  <si>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</si>
  <si>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</si>
  <si>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</si>
  <si>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</si>
  <si>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</si>
  <si>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</si>
  <si>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</si>
  <si>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</si>
  <si>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</si>
  <si>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</si>
  <si>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</si>
  <si>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</si>
  <si>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</si>
  <si>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</si>
  <si>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</si>
  <si>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</si>
  <si>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</si>
  <si>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</si>
  <si>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</si>
  <si>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</si>
  <si>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</si>
  <si>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</si>
  <si>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</si>
  <si>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</si>
  <si>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</si>
  <si>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</si>
  <si>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</si>
  <si>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</si>
  <si>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</si>
  <si>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</si>
  <si>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</si>
  <si>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</si>
  <si>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</si>
  <si>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</si>
  <si>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</si>
  <si>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</si>
  <si>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</si>
  <si>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</si>
  <si>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</si>
  <si>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</si>
  <si>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</si>
  <si>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</si>
  <si>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</si>
  <si>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</si>
  <si>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</si>
  <si>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</si>
  <si>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</si>
  <si>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</si>
  <si>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</si>
  <si>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</si>
  <si>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</si>
  <si>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</si>
  <si>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</si>
  <si>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</si>
  <si>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</si>
  <si>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</si>
  <si>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</si>
  <si>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</si>
  <si>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</si>
  <si>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</si>
  <si>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</si>
  <si>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</si>
  <si>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</si>
  <si>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</si>
  <si>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</si>
  <si>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</si>
  <si>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</si>
  <si>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</si>
  <si>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</si>
  <si>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</si>
  <si>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</si>
  <si>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</si>
  <si>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</si>
  <si>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</si>
  <si>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</si>
  <si>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</si>
  <si>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</si>
  <si>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</si>
  <si>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</si>
  <si>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</si>
  <si>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</si>
  <si>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</si>
  <si>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</si>
  <si>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</si>
  <si>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</si>
  <si>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</si>
  <si>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</si>
  <si>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</si>
  <si>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</si>
  <si>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</si>
  <si>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</si>
  <si>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24.04.2014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</si>
  <si>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23.04.14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</si>
</sst>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2013"/>
      <sheetName val="очік-04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7">
        <row r="6">
          <cell r="G6">
            <v>121382637.65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107557415.69</v>
          </cell>
        </row>
      </sheetData>
      <sheetData sheetId="18">
        <row r="52">
          <cell r="B52">
            <v>5734391.629999999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7" sqref="E14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4" t="s">
        <v>226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170" t="s">
        <v>224</v>
      </c>
      <c r="E3" s="170"/>
      <c r="F3" s="171" t="s">
        <v>107</v>
      </c>
      <c r="G3" s="172"/>
      <c r="H3" s="172"/>
      <c r="I3" s="172"/>
      <c r="J3" s="172"/>
      <c r="K3" s="172"/>
      <c r="L3" s="173"/>
      <c r="M3" s="174" t="s">
        <v>225</v>
      </c>
      <c r="N3" s="176" t="s">
        <v>221</v>
      </c>
      <c r="O3" s="176"/>
      <c r="P3" s="176"/>
      <c r="Q3" s="176"/>
      <c r="R3" s="176"/>
    </row>
    <row r="4" spans="1:18" ht="22.5" customHeight="1">
      <c r="A4" s="166"/>
      <c r="B4" s="168"/>
      <c r="C4" s="169"/>
      <c r="D4" s="170"/>
      <c r="E4" s="170"/>
      <c r="F4" s="177" t="s">
        <v>116</v>
      </c>
      <c r="G4" s="179" t="s">
        <v>217</v>
      </c>
      <c r="H4" s="163" t="s">
        <v>218</v>
      </c>
      <c r="I4" s="181" t="s">
        <v>188</v>
      </c>
      <c r="J4" s="183" t="s">
        <v>189</v>
      </c>
      <c r="K4" s="185" t="s">
        <v>219</v>
      </c>
      <c r="L4" s="186"/>
      <c r="M4" s="175"/>
      <c r="N4" s="193" t="s">
        <v>227</v>
      </c>
      <c r="O4" s="181" t="s">
        <v>136</v>
      </c>
      <c r="P4" s="181" t="s">
        <v>135</v>
      </c>
      <c r="Q4" s="185" t="s">
        <v>222</v>
      </c>
      <c r="R4" s="186"/>
    </row>
    <row r="5" spans="1:18" ht="82.5" customHeight="1">
      <c r="A5" s="167"/>
      <c r="B5" s="168"/>
      <c r="C5" s="169"/>
      <c r="D5" s="150" t="s">
        <v>209</v>
      </c>
      <c r="E5" s="158" t="s">
        <v>216</v>
      </c>
      <c r="F5" s="178"/>
      <c r="G5" s="162"/>
      <c r="H5" s="180"/>
      <c r="I5" s="182"/>
      <c r="J5" s="184"/>
      <c r="K5" s="187"/>
      <c r="L5" s="188"/>
      <c r="M5" s="151" t="s">
        <v>220</v>
      </c>
      <c r="N5" s="194"/>
      <c r="O5" s="182"/>
      <c r="P5" s="182"/>
      <c r="Q5" s="187"/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132119.13</v>
      </c>
      <c r="G8" s="22">
        <f aca="true" t="shared" si="0" ref="G8:G30">F8-E8</f>
        <v>-22101.96000000002</v>
      </c>
      <c r="H8" s="51">
        <f>F8/E8*100</f>
        <v>85.66865271150657</v>
      </c>
      <c r="I8" s="36">
        <f aca="true" t="shared" si="1" ref="I8:I17">F8-D8</f>
        <v>-356357.17</v>
      </c>
      <c r="J8" s="36">
        <f aca="true" t="shared" si="2" ref="J8:J14">F8/D8*100</f>
        <v>27.04719348717635</v>
      </c>
      <c r="K8" s="36">
        <f>F8-151112.7</f>
        <v>-18993.570000000007</v>
      </c>
      <c r="L8" s="136">
        <f>F8/151112.7</f>
        <v>0.8743085789612653</v>
      </c>
      <c r="M8" s="22">
        <f>M10+M19+M33+M56+M68+M30</f>
        <v>38983.18999999999</v>
      </c>
      <c r="N8" s="22">
        <f>N10+N19+N33+N56+N68+N30</f>
        <v>24510.119999999995</v>
      </c>
      <c r="O8" s="36">
        <f aca="true" t="shared" si="3" ref="O8:O71">N8-M8</f>
        <v>-14473.069999999992</v>
      </c>
      <c r="P8" s="36">
        <f>F8/M8*100</f>
        <v>338.9130802276572</v>
      </c>
      <c r="Q8" s="36">
        <f>N8-40194.7</f>
        <v>-15684.580000000002</v>
      </c>
      <c r="R8" s="134">
        <f>N8/40194.7</f>
        <v>0.6097848721348834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108084.2</v>
      </c>
      <c r="G9" s="22">
        <f t="shared" si="0"/>
        <v>108084.2</v>
      </c>
      <c r="H9" s="20"/>
      <c r="I9" s="56">
        <f t="shared" si="1"/>
        <v>-278929</v>
      </c>
      <c r="J9" s="56">
        <f t="shared" si="2"/>
        <v>27.92778127464386</v>
      </c>
      <c r="K9" s="56"/>
      <c r="L9" s="135"/>
      <c r="M9" s="20">
        <f>M10+M17</f>
        <v>32246.59999999999</v>
      </c>
      <c r="N9" s="20">
        <f>N10+N17</f>
        <v>22037.589999999997</v>
      </c>
      <c r="O9" s="36">
        <f t="shared" si="3"/>
        <v>-10209.009999999995</v>
      </c>
      <c r="P9" s="56">
        <f>F9/M9*100</f>
        <v>335.1801430228304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108084.2</v>
      </c>
      <c r="G10" s="49">
        <f t="shared" si="0"/>
        <v>-17619</v>
      </c>
      <c r="H10" s="40">
        <f aca="true" t="shared" si="4" ref="H10:H17">F10/E10*100</f>
        <v>85.98365037644228</v>
      </c>
      <c r="I10" s="56">
        <f t="shared" si="1"/>
        <v>-278929</v>
      </c>
      <c r="J10" s="56">
        <f t="shared" si="2"/>
        <v>27.92778127464386</v>
      </c>
      <c r="K10" s="141">
        <f>F10-117271.4</f>
        <v>-9187.199999999997</v>
      </c>
      <c r="L10" s="142">
        <f>F10/117271.4</f>
        <v>0.9216586482296621</v>
      </c>
      <c r="M10" s="40">
        <f>E10-березень!E10</f>
        <v>32246.59999999999</v>
      </c>
      <c r="N10" s="40">
        <f>F10-березень!F10</f>
        <v>22037.589999999997</v>
      </c>
      <c r="O10" s="53">
        <f t="shared" si="3"/>
        <v>-10209.009999999995</v>
      </c>
      <c r="P10" s="56">
        <f aca="true" t="shared" si="5" ref="P10:P17">N10/M10*100</f>
        <v>68.34081732647785</v>
      </c>
      <c r="Q10" s="141">
        <f>N10-32056.3</f>
        <v>-10018.710000000003</v>
      </c>
      <c r="R10" s="142">
        <f>N10/32056.3</f>
        <v>0.6874651784516616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826.55</v>
      </c>
      <c r="G19" s="49">
        <f t="shared" si="0"/>
        <v>-173.05000000000007</v>
      </c>
      <c r="H19" s="40">
        <f aca="true" t="shared" si="6" ref="H19:H29">F19/E19*100</f>
        <v>82.68807523009202</v>
      </c>
      <c r="I19" s="56">
        <f aca="true" t="shared" si="7" ref="I19:I29">F19-D19</f>
        <v>-173.45000000000005</v>
      </c>
      <c r="J19" s="56">
        <f aca="true" t="shared" si="8" ref="J19:J29">F19/D19*100</f>
        <v>82.655</v>
      </c>
      <c r="K19" s="56">
        <f>F19-4735.9</f>
        <v>-3909.3499999999995</v>
      </c>
      <c r="L19" s="135">
        <f>F19/4735.9</f>
        <v>0.17452860068835913</v>
      </c>
      <c r="M19" s="40">
        <f>E19-березень!E19</f>
        <v>-228.9999999999999</v>
      </c>
      <c r="N19" s="40">
        <f>F19-березень!F19</f>
        <v>10.870000000000005</v>
      </c>
      <c r="O19" s="53">
        <f t="shared" si="3"/>
        <v>239.8699999999999</v>
      </c>
      <c r="P19" s="56">
        <f aca="true" t="shared" si="9" ref="P19:P29">N19/M19*100</f>
        <v>-4.746724890829699</v>
      </c>
      <c r="Q19" s="56">
        <f>N19-450.5</f>
        <v>-439.63</v>
      </c>
      <c r="R19" s="135">
        <f>N19/450.5</f>
        <v>0.024128745837957835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759.84</v>
      </c>
      <c r="G29" s="49">
        <f t="shared" si="0"/>
        <v>20.24000000000001</v>
      </c>
      <c r="H29" s="40">
        <f t="shared" si="6"/>
        <v>102.73661438615468</v>
      </c>
      <c r="I29" s="56">
        <f t="shared" si="7"/>
        <v>-170.15999999999997</v>
      </c>
      <c r="J29" s="56">
        <f t="shared" si="8"/>
        <v>81.70322580645161</v>
      </c>
      <c r="K29" s="148">
        <f>F29-1169.5</f>
        <v>-409.65999999999997</v>
      </c>
      <c r="L29" s="149">
        <f>F29/1169.5</f>
        <v>0.649713552800342</v>
      </c>
      <c r="M29" s="40">
        <f>E29-березень!E29</f>
        <v>11</v>
      </c>
      <c r="N29" s="40">
        <f>F29-березень!F29</f>
        <v>8.680000000000064</v>
      </c>
      <c r="O29" s="148">
        <f t="shared" si="3"/>
        <v>-2.3199999999999363</v>
      </c>
      <c r="P29" s="145">
        <f t="shared" si="9"/>
        <v>78.90909090909149</v>
      </c>
      <c r="Q29" s="148">
        <f>N29-438.2</f>
        <v>-429.5199999999999</v>
      </c>
      <c r="R29" s="149">
        <f>N29/438.2</f>
        <v>0.01980830670926532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21047.52</v>
      </c>
      <c r="G33" s="49">
        <f aca="true" t="shared" si="14" ref="G33:G72">F33-E33</f>
        <v>-4223.07</v>
      </c>
      <c r="H33" s="40">
        <f aca="true" t="shared" si="15" ref="H33:H67">F33/E33*100</f>
        <v>83.28859753571246</v>
      </c>
      <c r="I33" s="56">
        <f>F33-D33</f>
        <v>-72518.48</v>
      </c>
      <c r="J33" s="56">
        <f aca="true" t="shared" si="16" ref="J33:J72">F33/D33*100</f>
        <v>22.49483786845649</v>
      </c>
      <c r="K33" s="141">
        <f>F33-26928.2</f>
        <v>-5880.68</v>
      </c>
      <c r="L33" s="142">
        <f>F33/26928.2</f>
        <v>0.7816162981558367</v>
      </c>
      <c r="M33" s="40">
        <f>E33-березень!E33</f>
        <v>6412.09</v>
      </c>
      <c r="N33" s="40">
        <f>F33-березень!F33</f>
        <v>1958.25</v>
      </c>
      <c r="O33" s="53">
        <f t="shared" si="3"/>
        <v>-4453.84</v>
      </c>
      <c r="P33" s="56">
        <f aca="true" t="shared" si="17" ref="P33:P67">N33/M33*100</f>
        <v>30.539964348597724</v>
      </c>
      <c r="Q33" s="141">
        <f>N33-7165.5</f>
        <v>-5207.25</v>
      </c>
      <c r="R33" s="142">
        <f>N33/7165.5</f>
        <v>0.2732886749005652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15880.41</v>
      </c>
      <c r="G55" s="144">
        <f t="shared" si="14"/>
        <v>-2929.880000000001</v>
      </c>
      <c r="H55" s="146">
        <f t="shared" si="15"/>
        <v>84.42405725802206</v>
      </c>
      <c r="I55" s="145">
        <f t="shared" si="18"/>
        <v>-54385.59</v>
      </c>
      <c r="J55" s="145">
        <f t="shared" si="16"/>
        <v>22.600418410041843</v>
      </c>
      <c r="K55" s="148">
        <f>F55-19428.9</f>
        <v>-3548.4900000000016</v>
      </c>
      <c r="L55" s="149">
        <f>F55/19428.9</f>
        <v>0.8173602211139076</v>
      </c>
      <c r="M55" s="40">
        <f>E55-березень!E55</f>
        <v>4792.090000000002</v>
      </c>
      <c r="N55" s="40">
        <f>F55-березень!F55</f>
        <v>1683.3999999999996</v>
      </c>
      <c r="O55" s="148">
        <f t="shared" si="3"/>
        <v>-3108.6900000000023</v>
      </c>
      <c r="P55" s="148">
        <f t="shared" si="17"/>
        <v>35.128722540686816</v>
      </c>
      <c r="Q55" s="160">
        <f>N55-4813.7</f>
        <v>-3130.3</v>
      </c>
      <c r="R55" s="161">
        <f>N55/4813.7</f>
        <v>0.3497102021314165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2157.12</v>
      </c>
      <c r="G56" s="49">
        <f t="shared" si="14"/>
        <v>-80.98000000000002</v>
      </c>
      <c r="H56" s="40">
        <f t="shared" si="15"/>
        <v>96.38175237925026</v>
      </c>
      <c r="I56" s="56">
        <f t="shared" si="18"/>
        <v>-4702.88</v>
      </c>
      <c r="J56" s="56">
        <f t="shared" si="16"/>
        <v>31.44489795918367</v>
      </c>
      <c r="K56" s="56">
        <f>F56-2151.9</f>
        <v>5.2199999999998</v>
      </c>
      <c r="L56" s="135">
        <f>F56/2151.9</f>
        <v>1.0024257632789626</v>
      </c>
      <c r="M56" s="40">
        <f>E56-березень!E56</f>
        <v>553</v>
      </c>
      <c r="N56" s="40">
        <f>F56-березень!F56</f>
        <v>503.40999999999985</v>
      </c>
      <c r="O56" s="53">
        <f t="shared" si="3"/>
        <v>-49.590000000000146</v>
      </c>
      <c r="P56" s="56">
        <f t="shared" si="17"/>
        <v>91.03254972875223</v>
      </c>
      <c r="Q56" s="56">
        <f>N56-522.5</f>
        <v>-19.090000000000146</v>
      </c>
      <c r="R56" s="135">
        <f>N56/522.5</f>
        <v>0.9634641148325356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E68-березень!E68</f>
        <v>0</v>
      </c>
      <c r="N68" s="40">
        <f>F68-березень!F68</f>
        <v>0</v>
      </c>
      <c r="O68" s="53">
        <f t="shared" si="3"/>
        <v>0</v>
      </c>
      <c r="P68" s="56"/>
      <c r="Q68" s="56">
        <f>N68-0.1</f>
        <v>-0.1</v>
      </c>
      <c r="R68" s="135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4112.710000000001</v>
      </c>
      <c r="G74" s="50">
        <f aca="true" t="shared" si="24" ref="G74:G92">F74-E74</f>
        <v>-334.78999999999905</v>
      </c>
      <c r="H74" s="51">
        <f aca="true" t="shared" si="25" ref="H74:H87">F74/E74*100</f>
        <v>92.47240022484544</v>
      </c>
      <c r="I74" s="36">
        <f aca="true" t="shared" si="26" ref="I74:I92">F74-D74</f>
        <v>-14245.589999999998</v>
      </c>
      <c r="J74" s="36">
        <f aca="true" t="shared" si="27" ref="J74:J92">F74/D74*100</f>
        <v>22.40245556505777</v>
      </c>
      <c r="K74" s="36">
        <f>F74-5374.8</f>
        <v>-1262.0899999999992</v>
      </c>
      <c r="L74" s="136">
        <f>F74/5374.8</f>
        <v>0.765183820793332</v>
      </c>
      <c r="M74" s="22">
        <f>M77+M86+M88+M89+M94+M95+M96+M97+M99+M87+M103</f>
        <v>1615.5</v>
      </c>
      <c r="N74" s="22">
        <f>N77+N86+N88+N89+N94+N95+N96+N97+N99+N32+N103+N87</f>
        <v>993.1600000000001</v>
      </c>
      <c r="O74" s="55">
        <f aca="true" t="shared" si="28" ref="O74:O92">N74-M74</f>
        <v>-622.3399999999999</v>
      </c>
      <c r="P74" s="36">
        <f>N74/M74*100</f>
        <v>61.47694212318168</v>
      </c>
      <c r="Q74" s="36">
        <f>N74-1526</f>
        <v>-532.8399999999999</v>
      </c>
      <c r="R74" s="136">
        <f>N74/1526</f>
        <v>0.6508256880733946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3.4</v>
      </c>
      <c r="G88" s="49">
        <f t="shared" si="24"/>
        <v>2.4</v>
      </c>
      <c r="H88" s="40">
        <f>F88/E88*100</f>
        <v>340</v>
      </c>
      <c r="I88" s="56">
        <f t="shared" si="26"/>
        <v>-1.6999999999999997</v>
      </c>
      <c r="J88" s="56">
        <f t="shared" si="27"/>
        <v>66.66666666666667</v>
      </c>
      <c r="K88" s="56">
        <f>F88-0.1</f>
        <v>3.3</v>
      </c>
      <c r="L88" s="135"/>
      <c r="M88" s="40">
        <f>E88-березень!E88</f>
        <v>0.5</v>
      </c>
      <c r="N88" s="40">
        <f>F88-березень!F88</f>
        <v>0</v>
      </c>
      <c r="O88" s="53">
        <f t="shared" si="28"/>
        <v>-0.5</v>
      </c>
      <c r="P88" s="56">
        <f>N88/M88*100</f>
        <v>0</v>
      </c>
      <c r="Q88" s="56">
        <f>N88-0.1</f>
        <v>-0.1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31.55</v>
      </c>
      <c r="G89" s="49">
        <f t="shared" si="24"/>
        <v>-22.45</v>
      </c>
      <c r="H89" s="40">
        <f>F89/E89*100</f>
        <v>58.425925925925924</v>
      </c>
      <c r="I89" s="56">
        <f t="shared" si="26"/>
        <v>-143.45</v>
      </c>
      <c r="J89" s="56">
        <f t="shared" si="27"/>
        <v>18.02857142857143</v>
      </c>
      <c r="K89" s="56">
        <f>F89-66.3</f>
        <v>-34.75</v>
      </c>
      <c r="L89" s="135">
        <f>F89/66.3</f>
        <v>0.4758672699849171</v>
      </c>
      <c r="M89" s="40">
        <f>E89-березень!E89</f>
        <v>15</v>
      </c>
      <c r="N89" s="40">
        <f>F89-березень!F89</f>
        <v>4.780000000000001</v>
      </c>
      <c r="O89" s="53">
        <f t="shared" si="28"/>
        <v>-10.219999999999999</v>
      </c>
      <c r="P89" s="56">
        <f>N89/M89*100</f>
        <v>31.866666666666678</v>
      </c>
      <c r="Q89" s="56">
        <f>N89-18.8</f>
        <v>-14.02</v>
      </c>
      <c r="R89" s="135">
        <f>N89/18.8</f>
        <v>0.25425531914893623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264.27</v>
      </c>
      <c r="G96" s="49">
        <f t="shared" si="31"/>
        <v>-30.230000000000018</v>
      </c>
      <c r="H96" s="40">
        <f>F96/E96*100</f>
        <v>89.73514431239387</v>
      </c>
      <c r="I96" s="56">
        <f t="shared" si="32"/>
        <v>-935.73</v>
      </c>
      <c r="J96" s="56">
        <f>F96/D96*100</f>
        <v>22.022499999999997</v>
      </c>
      <c r="K96" s="56">
        <f>F96-305.5</f>
        <v>-41.23000000000002</v>
      </c>
      <c r="L96" s="135">
        <f>F96/305.5</f>
        <v>0.8650409165302781</v>
      </c>
      <c r="M96" s="40">
        <f>E96-березень!E96</f>
        <v>70</v>
      </c>
      <c r="N96" s="40">
        <f>F96-березень!F96</f>
        <v>65.39999999999998</v>
      </c>
      <c r="O96" s="53">
        <f t="shared" si="33"/>
        <v>-4.600000000000023</v>
      </c>
      <c r="P96" s="56">
        <f>N96/M96*100</f>
        <v>93.42857142857139</v>
      </c>
      <c r="Q96" s="56">
        <f>N96-144</f>
        <v>-78.60000000000002</v>
      </c>
      <c r="R96" s="135">
        <f>N96/144</f>
        <v>0.4541666666666665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1183.74</v>
      </c>
      <c r="G99" s="49">
        <f t="shared" si="31"/>
        <v>6.740000000000009</v>
      </c>
      <c r="H99" s="40">
        <f>F99/E99*100</f>
        <v>100.57264231096006</v>
      </c>
      <c r="I99" s="56">
        <f t="shared" si="32"/>
        <v>-3388.96</v>
      </c>
      <c r="J99" s="56">
        <f>F99/D99*100</f>
        <v>25.887112646795114</v>
      </c>
      <c r="K99" s="56">
        <f>F99-994.9</f>
        <v>188.84000000000003</v>
      </c>
      <c r="L99" s="135">
        <f>F99/994.9</f>
        <v>1.1898080209066237</v>
      </c>
      <c r="M99" s="40">
        <f>E99-березень!E99</f>
        <v>400</v>
      </c>
      <c r="N99" s="40">
        <f>F99-березень!F99</f>
        <v>269.89</v>
      </c>
      <c r="O99" s="53">
        <f t="shared" si="33"/>
        <v>-130.11</v>
      </c>
      <c r="P99" s="56">
        <f>N99/M99*100</f>
        <v>67.4725</v>
      </c>
      <c r="Q99" s="56">
        <f>N99-264.3</f>
        <v>5.589999999999975</v>
      </c>
      <c r="R99" s="135">
        <f>N99/264.3</f>
        <v>1.0211502080968595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231.9</v>
      </c>
      <c r="G102" s="144"/>
      <c r="H102" s="146"/>
      <c r="I102" s="145"/>
      <c r="J102" s="145"/>
      <c r="K102" s="148">
        <f>F102-139.6</f>
        <v>92.30000000000001</v>
      </c>
      <c r="L102" s="149">
        <f>F102/139.6</f>
        <v>1.6611747851002867</v>
      </c>
      <c r="M102" s="40">
        <f>E102-березень!E102</f>
        <v>0</v>
      </c>
      <c r="N102" s="40">
        <f>F102-березень!F102</f>
        <v>59.30000000000001</v>
      </c>
      <c r="O102" s="53"/>
      <c r="P102" s="60"/>
      <c r="Q102" s="60">
        <f>N102-51</f>
        <v>8.300000000000011</v>
      </c>
      <c r="R102" s="138">
        <f>N102/51</f>
        <v>1.162745098039216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7.17</v>
      </c>
      <c r="G104" s="49">
        <f>F104-E104</f>
        <v>-2.0299999999999994</v>
      </c>
      <c r="H104" s="40"/>
      <c r="I104" s="56">
        <f t="shared" si="34"/>
        <v>-37.83</v>
      </c>
      <c r="J104" s="56">
        <f aca="true" t="shared" si="36" ref="J104:J109">F104/D104*100</f>
        <v>15.933333333333334</v>
      </c>
      <c r="K104" s="56">
        <f>F104-12.1</f>
        <v>-4.93</v>
      </c>
      <c r="L104" s="135">
        <f>F104/12.1</f>
        <v>0.5925619834710744</v>
      </c>
      <c r="M104" s="40">
        <f>E104-березень!E104</f>
        <v>2.999999999999999</v>
      </c>
      <c r="N104" s="40">
        <f>F104-березень!F104</f>
        <v>1.2599999999999998</v>
      </c>
      <c r="O104" s="53">
        <f t="shared" si="35"/>
        <v>-1.7399999999999993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136239.05000000002</v>
      </c>
      <c r="G106" s="50">
        <f>F106-E106</f>
        <v>-22438.74000000002</v>
      </c>
      <c r="H106" s="51">
        <f>F106/E106*100</f>
        <v>85.85892833521312</v>
      </c>
      <c r="I106" s="36">
        <f t="shared" si="34"/>
        <v>-370640.54999999993</v>
      </c>
      <c r="J106" s="36">
        <f t="shared" si="36"/>
        <v>26.87799035510603</v>
      </c>
      <c r="K106" s="36">
        <f>F106-156502.1</f>
        <v>-20263.04999999999</v>
      </c>
      <c r="L106" s="136">
        <f>F106/156502.1</f>
        <v>0.8705253795316485</v>
      </c>
      <c r="M106" s="22">
        <f>M8+M74+M104+M105</f>
        <v>40601.68999999999</v>
      </c>
      <c r="N106" s="22">
        <f>N8+N74+N104+N105</f>
        <v>25504.539999999994</v>
      </c>
      <c r="O106" s="55">
        <f t="shared" si="35"/>
        <v>-15097.149999999994</v>
      </c>
      <c r="P106" s="36">
        <f>N106/M106*100</f>
        <v>62.816449266028094</v>
      </c>
      <c r="Q106" s="36">
        <f>N106-41720.7</f>
        <v>-16216.160000000003</v>
      </c>
      <c r="R106" s="136">
        <f>N106/41720.7</f>
        <v>0.6113162051451676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108348.47</v>
      </c>
      <c r="G107" s="71">
        <f>G10-G18+G96</f>
        <v>-17649.23</v>
      </c>
      <c r="H107" s="72">
        <f>F107/E107*100</f>
        <v>85.99241890923406</v>
      </c>
      <c r="I107" s="52">
        <f t="shared" si="34"/>
        <v>-279864.73</v>
      </c>
      <c r="J107" s="52">
        <f t="shared" si="36"/>
        <v>27.909527548264716</v>
      </c>
      <c r="K107" s="52">
        <f>F107-117642.3</f>
        <v>-9293.830000000002</v>
      </c>
      <c r="L107" s="137">
        <f>F107/117642.3</f>
        <v>0.9209992494196391</v>
      </c>
      <c r="M107" s="71">
        <f>M10-M18+M96</f>
        <v>32316.59999999999</v>
      </c>
      <c r="N107" s="71">
        <f>N10-N18+N96</f>
        <v>22102.989999999998</v>
      </c>
      <c r="O107" s="53">
        <f t="shared" si="35"/>
        <v>-10213.609999999993</v>
      </c>
      <c r="P107" s="52">
        <f>N107/M107*100</f>
        <v>68.39515914421692</v>
      </c>
      <c r="Q107" s="52">
        <f>N107-32216.7</f>
        <v>-10113.710000000003</v>
      </c>
      <c r="R107" s="137">
        <f>N107/32216.7</f>
        <v>0.6860724406906976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27890.580000000016</v>
      </c>
      <c r="G108" s="62">
        <f>F108-E108</f>
        <v>-4789.510000000024</v>
      </c>
      <c r="H108" s="72">
        <f>F108/E108*100</f>
        <v>85.34425700786008</v>
      </c>
      <c r="I108" s="52">
        <f t="shared" si="34"/>
        <v>-90775.81999999995</v>
      </c>
      <c r="J108" s="52">
        <f t="shared" si="36"/>
        <v>23.503350569327143</v>
      </c>
      <c r="K108" s="52">
        <f>F108-38859.8</f>
        <v>-10969.219999999987</v>
      </c>
      <c r="L108" s="137">
        <f>F108/38859.8</f>
        <v>0.7177231998106015</v>
      </c>
      <c r="M108" s="71">
        <f>M106-M107</f>
        <v>8285.089999999997</v>
      </c>
      <c r="N108" s="71">
        <f>N106-N107</f>
        <v>3401.5499999999956</v>
      </c>
      <c r="O108" s="53">
        <f t="shared" si="35"/>
        <v>-4883.540000000001</v>
      </c>
      <c r="P108" s="52">
        <f>N108/M108*100</f>
        <v>41.056283033738886</v>
      </c>
      <c r="Q108" s="52">
        <f>N108-9504</f>
        <v>-6102.450000000004</v>
      </c>
      <c r="R108" s="137">
        <f>N108/9504</f>
        <v>0.35790719696969653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108348.47</v>
      </c>
      <c r="G109" s="111">
        <f>F109-E109</f>
        <v>-12279.330000000002</v>
      </c>
      <c r="H109" s="72">
        <f>F109/E109*100</f>
        <v>89.82048085101444</v>
      </c>
      <c r="I109" s="81">
        <f t="shared" si="34"/>
        <v>-279864.73</v>
      </c>
      <c r="J109" s="52">
        <f t="shared" si="36"/>
        <v>27.909527548264716</v>
      </c>
      <c r="K109" s="52"/>
      <c r="L109" s="137"/>
      <c r="M109" s="72">
        <f>E109-березень!E109</f>
        <v>32316.600000000006</v>
      </c>
      <c r="N109" s="71">
        <f>N107</f>
        <v>22102.989999999998</v>
      </c>
      <c r="O109" s="118">
        <f t="shared" si="35"/>
        <v>-10213.610000000008</v>
      </c>
      <c r="P109" s="52">
        <f>N109/M109*100</f>
        <v>68.39515914421689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351.14</v>
      </c>
      <c r="G114" s="49">
        <f t="shared" si="37"/>
        <v>-690.9599999999999</v>
      </c>
      <c r="H114" s="40">
        <f aca="true" t="shared" si="39" ref="H114:H125">F114/E114*100</f>
        <v>33.69542270415508</v>
      </c>
      <c r="I114" s="60">
        <f t="shared" si="38"/>
        <v>-3320.36</v>
      </c>
      <c r="J114" s="60">
        <f aca="true" t="shared" si="40" ref="J114:J120">F114/D114*100</f>
        <v>9.563938444777339</v>
      </c>
      <c r="K114" s="60">
        <f>F114-1203.2</f>
        <v>-852.0600000000001</v>
      </c>
      <c r="L114" s="138">
        <f>F114/1203.2</f>
        <v>0.2918384308510638</v>
      </c>
      <c r="M114" s="40">
        <f>E114-березень!E114</f>
        <v>327.4999999999999</v>
      </c>
      <c r="N114" s="40">
        <f>F114-березень!F114</f>
        <v>67.49000000000001</v>
      </c>
      <c r="O114" s="53">
        <f aca="true" t="shared" si="41" ref="O114:O125">N114-M114</f>
        <v>-260.0099999999999</v>
      </c>
      <c r="P114" s="60">
        <f>N114/M114*100</f>
        <v>20.60763358778627</v>
      </c>
      <c r="Q114" s="60">
        <f>N114-368.9</f>
        <v>-301.40999999999997</v>
      </c>
      <c r="R114" s="138">
        <f>N114/368.9</f>
        <v>0.1829493087557604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446.72</v>
      </c>
      <c r="G116" s="62">
        <f t="shared" si="37"/>
        <v>-685.8799999999999</v>
      </c>
      <c r="H116" s="72">
        <f t="shared" si="39"/>
        <v>39.441991877096946</v>
      </c>
      <c r="I116" s="61">
        <f t="shared" si="38"/>
        <v>-3492.88</v>
      </c>
      <c r="J116" s="61">
        <f t="shared" si="40"/>
        <v>11.339222256066607</v>
      </c>
      <c r="K116" s="61">
        <f>F116-1294.2</f>
        <v>-847.48</v>
      </c>
      <c r="L116" s="139">
        <f>F116/1294.2</f>
        <v>0.34517076186060885</v>
      </c>
      <c r="M116" s="62">
        <f>M114+M115+M113</f>
        <v>349.4999999999999</v>
      </c>
      <c r="N116" s="38">
        <f>SUM(N113:N115)</f>
        <v>95.26000000000002</v>
      </c>
      <c r="O116" s="61">
        <f t="shared" si="41"/>
        <v>-254.23999999999987</v>
      </c>
      <c r="P116" s="61">
        <f>N116/M116*100</f>
        <v>27.256080114449226</v>
      </c>
      <c r="Q116" s="61">
        <f>N116-391.8</f>
        <v>-296.53999999999996</v>
      </c>
      <c r="R116" s="139">
        <f>N116/391.8</f>
        <v>0.24313425216947426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0</v>
      </c>
      <c r="F118" s="33">
        <v>108.35</v>
      </c>
      <c r="G118" s="49">
        <f t="shared" si="37"/>
        <v>108.35</v>
      </c>
      <c r="H118" s="40" t="e">
        <f t="shared" si="39"/>
        <v>#DIV/0!</v>
      </c>
      <c r="I118" s="60">
        <f t="shared" si="38"/>
        <v>-158.85</v>
      </c>
      <c r="J118" s="60">
        <f t="shared" si="40"/>
        <v>40.5501497005988</v>
      </c>
      <c r="K118" s="60">
        <f>F118-88.4</f>
        <v>19.94999999999999</v>
      </c>
      <c r="L118" s="138">
        <f>F118/88.4</f>
        <v>1.225678733031674</v>
      </c>
      <c r="M118" s="40">
        <f>E118-березень!E118</f>
        <v>0</v>
      </c>
      <c r="N118" s="40">
        <f>F118-березень!F118</f>
        <v>6.8799999999999955</v>
      </c>
      <c r="O118" s="53" t="s">
        <v>166</v>
      </c>
      <c r="P118" s="60"/>
      <c r="Q118" s="60">
        <f>N118-80.7</f>
        <v>-73.82000000000001</v>
      </c>
      <c r="R118" s="138">
        <f>N118/80.7</f>
        <v>0.08525402726146214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23812.6</v>
      </c>
      <c r="F119" s="33">
        <v>24892.69</v>
      </c>
      <c r="G119" s="49">
        <f t="shared" si="37"/>
        <v>1080.0900000000001</v>
      </c>
      <c r="H119" s="40">
        <f t="shared" si="39"/>
        <v>104.53579197567674</v>
      </c>
      <c r="I119" s="53">
        <f t="shared" si="38"/>
        <v>-47083.3</v>
      </c>
      <c r="J119" s="60">
        <f t="shared" si="40"/>
        <v>34.58471359685361</v>
      </c>
      <c r="K119" s="60">
        <f>F119-23645.2</f>
        <v>1247.489999999998</v>
      </c>
      <c r="L119" s="138">
        <f>F119/23645.2</f>
        <v>1.0527586994400553</v>
      </c>
      <c r="M119" s="40">
        <f>E119-березень!E119</f>
        <v>5200</v>
      </c>
      <c r="N119" s="40">
        <f>F119-березень!F119</f>
        <v>5197.649999999998</v>
      </c>
      <c r="O119" s="53">
        <f t="shared" si="41"/>
        <v>-2.350000000002183</v>
      </c>
      <c r="P119" s="60">
        <f aca="true" t="shared" si="42" ref="P119:P124">N119/M119*100</f>
        <v>99.95480769230764</v>
      </c>
      <c r="Q119" s="60">
        <f>N119-6401.1</f>
        <v>-1203.4500000000025</v>
      </c>
      <c r="R119" s="138">
        <f>N119/6401.1</f>
        <v>0.8119932511599565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0</v>
      </c>
      <c r="F120" s="33">
        <v>1369.83</v>
      </c>
      <c r="G120" s="49">
        <f t="shared" si="37"/>
        <v>1369.83</v>
      </c>
      <c r="H120" s="40" t="e">
        <f t="shared" si="39"/>
        <v>#DIV/0!</v>
      </c>
      <c r="I120" s="60">
        <f t="shared" si="38"/>
        <v>-8630.17</v>
      </c>
      <c r="J120" s="60">
        <f t="shared" si="40"/>
        <v>13.6983</v>
      </c>
      <c r="K120" s="60">
        <f>F120-436.1</f>
        <v>933.7299999999999</v>
      </c>
      <c r="L120" s="138">
        <f>F120/436.1</f>
        <v>3.141091492776886</v>
      </c>
      <c r="M120" s="40">
        <f>E120-березень!E120</f>
        <v>0</v>
      </c>
      <c r="N120" s="40">
        <f>F120-березень!F120</f>
        <v>851.1999999999999</v>
      </c>
      <c r="O120" s="53">
        <f t="shared" si="41"/>
        <v>851.1999999999999</v>
      </c>
      <c r="P120" s="60" t="e">
        <f t="shared" si="42"/>
        <v>#DIV/0!</v>
      </c>
      <c r="Q120" s="60">
        <f>N120-155.6</f>
        <v>695.5999999999999</v>
      </c>
      <c r="R120" s="138">
        <f>N120/155.6</f>
        <v>5.4704370179948585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0</v>
      </c>
      <c r="F121" s="33">
        <v>1448.03</v>
      </c>
      <c r="G121" s="49">
        <f t="shared" si="37"/>
        <v>1448.03</v>
      </c>
      <c r="H121" s="40" t="e">
        <f t="shared" si="39"/>
        <v>#DIV/0!</v>
      </c>
      <c r="I121" s="60">
        <f t="shared" si="38"/>
        <v>-21629.97</v>
      </c>
      <c r="J121" s="60">
        <f>F121/D121*100</f>
        <v>6.274503856486698</v>
      </c>
      <c r="K121" s="60">
        <f>F121-7276</f>
        <v>-5827.97</v>
      </c>
      <c r="L121" s="138">
        <f>F121/7276</f>
        <v>0.1990145684442001</v>
      </c>
      <c r="M121" s="40">
        <f>E121-березень!E121</f>
        <v>0</v>
      </c>
      <c r="N121" s="40">
        <f>F121-березень!F121</f>
        <v>304.06999999999994</v>
      </c>
      <c r="O121" s="53">
        <f t="shared" si="41"/>
        <v>304.06999999999994</v>
      </c>
      <c r="P121" s="60" t="e">
        <f t="shared" si="42"/>
        <v>#DIV/0!</v>
      </c>
      <c r="Q121" s="60">
        <f>N121-282.5</f>
        <v>21.569999999999936</v>
      </c>
      <c r="R121" s="138">
        <f>N121/282.5</f>
        <v>1.0763539823008847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0</v>
      </c>
      <c r="F122" s="33">
        <v>501.74</v>
      </c>
      <c r="G122" s="49">
        <f t="shared" si="37"/>
        <v>501.74</v>
      </c>
      <c r="H122" s="40" t="e">
        <f t="shared" si="39"/>
        <v>#DIV/0!</v>
      </c>
      <c r="I122" s="60">
        <f t="shared" si="38"/>
        <v>-1498.26</v>
      </c>
      <c r="J122" s="60">
        <f>F122/D122*100</f>
        <v>25.087</v>
      </c>
      <c r="K122" s="60">
        <f>F122-1170.5</f>
        <v>-668.76</v>
      </c>
      <c r="L122" s="138">
        <f>F122/1170.5</f>
        <v>0.4286544211875267</v>
      </c>
      <c r="M122" s="40">
        <f>E122-березень!E122</f>
        <v>0</v>
      </c>
      <c r="N122" s="40">
        <f>F122-березень!F122</f>
        <v>37.81999999999999</v>
      </c>
      <c r="O122" s="53">
        <f t="shared" si="41"/>
        <v>37.81999999999999</v>
      </c>
      <c r="P122" s="60" t="e">
        <f t="shared" si="42"/>
        <v>#DIV/0!</v>
      </c>
      <c r="Q122" s="60">
        <f>N122-856</f>
        <v>-818.1800000000001</v>
      </c>
      <c r="R122" s="138">
        <f>N122/865</f>
        <v>0.043722543352601145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23812.6</v>
      </c>
      <c r="F123" s="38">
        <f>F119+F120+F121+F122+F118</f>
        <v>28320.639999999996</v>
      </c>
      <c r="G123" s="62">
        <f t="shared" si="37"/>
        <v>4508.039999999997</v>
      </c>
      <c r="H123" s="72">
        <f t="shared" si="39"/>
        <v>118.93132207318813</v>
      </c>
      <c r="I123" s="61">
        <f t="shared" si="38"/>
        <v>-79000.55</v>
      </c>
      <c r="J123" s="61">
        <f>F123/D123*100</f>
        <v>26.38867496717097</v>
      </c>
      <c r="K123" s="61">
        <f>F123-32616.1</f>
        <v>-4295.460000000003</v>
      </c>
      <c r="L123" s="139">
        <f>F123/32616.1</f>
        <v>0.8683024641204803</v>
      </c>
      <c r="M123" s="62">
        <f>M119+M120+M121+M122+M118</f>
        <v>5200</v>
      </c>
      <c r="N123" s="62">
        <f>N119+N120+N121+N122+N118</f>
        <v>6397.619999999997</v>
      </c>
      <c r="O123" s="61">
        <f t="shared" si="41"/>
        <v>1197.6199999999972</v>
      </c>
      <c r="P123" s="61">
        <f t="shared" si="42"/>
        <v>123.0311538461538</v>
      </c>
      <c r="Q123" s="61">
        <f>N123-7775.9</f>
        <v>-1378.2800000000025</v>
      </c>
      <c r="R123" s="139">
        <f>N123/7775.9</f>
        <v>0.822749778160727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8.05</v>
      </c>
      <c r="G124" s="49">
        <f t="shared" si="37"/>
        <v>-3.1099999999999994</v>
      </c>
      <c r="H124" s="40">
        <f t="shared" si="39"/>
        <v>72.13261648745521</v>
      </c>
      <c r="I124" s="60">
        <f t="shared" si="38"/>
        <v>-35.45</v>
      </c>
      <c r="J124" s="60">
        <f>F124/D124*100</f>
        <v>18.505747126436784</v>
      </c>
      <c r="K124" s="60">
        <f>F124-97.8</f>
        <v>-89.75</v>
      </c>
      <c r="L124" s="138">
        <f>F124/97.8</f>
        <v>0.08231083844580778</v>
      </c>
      <c r="M124" s="40">
        <f>E124-березень!E124</f>
        <v>3</v>
      </c>
      <c r="N124" s="40">
        <f>F124-березень!F124</f>
        <v>3.6900000000000004</v>
      </c>
      <c r="O124" s="53">
        <f t="shared" si="41"/>
        <v>0.6900000000000004</v>
      </c>
      <c r="P124" s="60">
        <f t="shared" si="42"/>
        <v>123.00000000000001</v>
      </c>
      <c r="Q124" s="60">
        <f>N124-0.8</f>
        <v>2.8900000000000006</v>
      </c>
      <c r="R124" s="138">
        <f>N124/0.8</f>
        <v>4.6125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2612.69</v>
      </c>
      <c r="G127" s="49">
        <f aca="true" t="shared" si="43" ref="G127:G134">F127-E127</f>
        <v>103.19000000000005</v>
      </c>
      <c r="H127" s="40">
        <f>F127/E127*100</f>
        <v>104.11197449691174</v>
      </c>
      <c r="I127" s="60">
        <f aca="true" t="shared" si="44" ref="I127:I134">F127-D127</f>
        <v>-6087.3099999999995</v>
      </c>
      <c r="J127" s="60">
        <f>F127/D127*100</f>
        <v>30.030919540229885</v>
      </c>
      <c r="K127" s="60">
        <f>F127-2832.5</f>
        <v>-219.80999999999995</v>
      </c>
      <c r="L127" s="138">
        <f>F127/2832.5</f>
        <v>0.9223971756398941</v>
      </c>
      <c r="M127" s="40">
        <f>E127-березень!E127</f>
        <v>2</v>
      </c>
      <c r="N127" s="40">
        <f>F127-березень!F127</f>
        <v>8.940000000000055</v>
      </c>
      <c r="O127" s="53">
        <f aca="true" t="shared" si="45" ref="O127:O134">N127-M127</f>
        <v>6.940000000000055</v>
      </c>
      <c r="P127" s="60">
        <f>N127/M127*100</f>
        <v>447.00000000000273</v>
      </c>
      <c r="Q127" s="60">
        <f>N127-392.9</f>
        <v>-383.9599999999999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2638.2300000000005</v>
      </c>
      <c r="G129" s="62">
        <f t="shared" si="43"/>
        <v>110.3700000000008</v>
      </c>
      <c r="H129" s="72">
        <f>F129/E129*100</f>
        <v>104.36614369466666</v>
      </c>
      <c r="I129" s="61">
        <f t="shared" si="44"/>
        <v>-6112.47</v>
      </c>
      <c r="J129" s="61">
        <f>F129/D129*100</f>
        <v>30.148788096952245</v>
      </c>
      <c r="K129" s="61">
        <f>F129-2938.1</f>
        <v>-299.86999999999944</v>
      </c>
      <c r="L129" s="139">
        <f>G129/2938.1</f>
        <v>0.03756509308736966</v>
      </c>
      <c r="M129" s="62">
        <f>M124+M127+M128+M126</f>
        <v>5</v>
      </c>
      <c r="N129" s="62">
        <f>N124+N127+N128+N126</f>
        <v>21.720000000000056</v>
      </c>
      <c r="O129" s="61">
        <f t="shared" si="45"/>
        <v>16.720000000000056</v>
      </c>
      <c r="P129" s="61">
        <f>N129/M129*100</f>
        <v>434.4000000000011</v>
      </c>
      <c r="Q129" s="61">
        <f>N129-393.8</f>
        <v>-372.0799999999999</v>
      </c>
      <c r="R129" s="137">
        <f>N129/393.8</f>
        <v>0.05515490096495697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11.11</v>
      </c>
      <c r="G130" s="49">
        <f>F130-E130</f>
        <v>2.8599999999999994</v>
      </c>
      <c r="H130" s="40">
        <f>F130/E130*100</f>
        <v>134.66666666666666</v>
      </c>
      <c r="I130" s="60">
        <f>F130-D130</f>
        <v>-18.89</v>
      </c>
      <c r="J130" s="60">
        <f>F130/D130*100</f>
        <v>37.03333333333333</v>
      </c>
      <c r="K130" s="60">
        <f>F130-8.8</f>
        <v>2.3099999999999987</v>
      </c>
      <c r="L130" s="138">
        <f>F130/8.8</f>
        <v>1.2624999999999997</v>
      </c>
      <c r="M130" s="40">
        <f>E130-березень!E130</f>
        <v>0.40000000000000036</v>
      </c>
      <c r="N130" s="40">
        <f>F130-березень!F130</f>
        <v>0.1399999999999988</v>
      </c>
      <c r="O130" s="53">
        <f>N130-M130</f>
        <v>-0.26000000000000156</v>
      </c>
      <c r="P130" s="60">
        <f>N130/M130*100</f>
        <v>34.999999999999666</v>
      </c>
      <c r="Q130" s="60">
        <f>N130-0.5</f>
        <v>-0.3600000000000012</v>
      </c>
      <c r="R130" s="138">
        <f>N130/0.5</f>
        <v>0.2799999999999976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27481.309999999998</v>
      </c>
      <c r="F133" s="31">
        <f>F116+F130+F123+F129+F132+F131</f>
        <v>31416.699999999997</v>
      </c>
      <c r="G133" s="50">
        <f t="shared" si="43"/>
        <v>3935.3899999999994</v>
      </c>
      <c r="H133" s="51">
        <f>F133/E133*100</f>
        <v>114.32024164786905</v>
      </c>
      <c r="I133" s="36">
        <f t="shared" si="44"/>
        <v>-88624.79000000001</v>
      </c>
      <c r="J133" s="36">
        <f>F133/D133*100</f>
        <v>26.171534525271216</v>
      </c>
      <c r="K133" s="36">
        <f>F133-36860.1</f>
        <v>-5443.4000000000015</v>
      </c>
      <c r="L133" s="136">
        <f>F133/36860.1</f>
        <v>0.8523227012406368</v>
      </c>
      <c r="M133" s="31">
        <f>M116+M130+M123+M129+M132+M131</f>
        <v>5554.9</v>
      </c>
      <c r="N133" s="31">
        <f>N116+N130+N123+N129+N132+N131</f>
        <v>6514.739999999997</v>
      </c>
      <c r="O133" s="36">
        <f t="shared" si="45"/>
        <v>959.8399999999974</v>
      </c>
      <c r="P133" s="36">
        <f>N133/M133*100</f>
        <v>117.27915894075495</v>
      </c>
      <c r="Q133" s="36">
        <f>N133-8565.9</f>
        <v>-2051.1600000000026</v>
      </c>
      <c r="R133" s="136">
        <f>N133/8564.9</f>
        <v>0.7606323483052922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186159.10000000003</v>
      </c>
      <c r="F134" s="31">
        <f>F106+F133</f>
        <v>167655.75</v>
      </c>
      <c r="G134" s="50">
        <f t="shared" si="43"/>
        <v>-18503.350000000035</v>
      </c>
      <c r="H134" s="51">
        <f>F134/E134*100</f>
        <v>90.06046440920694</v>
      </c>
      <c r="I134" s="36">
        <f t="shared" si="44"/>
        <v>-459265.33999999997</v>
      </c>
      <c r="J134" s="36">
        <f>F134/D134*100</f>
        <v>26.742719725699448</v>
      </c>
      <c r="K134" s="36">
        <f>F134-193362.2</f>
        <v>-25706.45000000001</v>
      </c>
      <c r="L134" s="136">
        <f>F134/193362.2</f>
        <v>0.867055453444365</v>
      </c>
      <c r="M134" s="22">
        <f>M106+M133</f>
        <v>46156.58999999999</v>
      </c>
      <c r="N134" s="22">
        <f>N106+N133</f>
        <v>32019.27999999999</v>
      </c>
      <c r="O134" s="36">
        <f t="shared" si="45"/>
        <v>-14137.309999999998</v>
      </c>
      <c r="P134" s="36">
        <f>N134/M134*100</f>
        <v>69.37098256175337</v>
      </c>
      <c r="Q134" s="36">
        <f>N134-50285.6</f>
        <v>-18266.320000000007</v>
      </c>
      <c r="R134" s="136">
        <f>N134/50285.6</f>
        <v>0.6367484926102104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5</v>
      </c>
      <c r="D136" s="4" t="s">
        <v>118</v>
      </c>
    </row>
    <row r="137" spans="2:17" ht="31.5">
      <c r="B137" s="78" t="s">
        <v>154</v>
      </c>
      <c r="C137" s="39">
        <f>IF(O106&lt;0,ABS(O106/C136),0)</f>
        <v>3019.429999999999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41752</v>
      </c>
      <c r="D138" s="39">
        <v>2018.6</v>
      </c>
      <c r="N138" s="190"/>
      <c r="O138" s="190"/>
    </row>
    <row r="139" spans="3:15" ht="15.75">
      <c r="C139" s="120">
        <v>41751</v>
      </c>
      <c r="D139" s="39">
        <v>3332.3</v>
      </c>
      <c r="F139" s="4" t="s">
        <v>166</v>
      </c>
      <c r="G139" s="191" t="s">
        <v>151</v>
      </c>
      <c r="H139" s="191"/>
      <c r="I139" s="115">
        <f>'[1]залишки  (2)'!$G$9/1000</f>
        <v>13825.22196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41747</v>
      </c>
      <c r="D140" s="39">
        <v>4856.2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f>'[1]залишки  (2)'!$G$8/1000</f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f>'[1]залишки  (2)'!$G$6/1000</f>
        <v>121382.63765</v>
      </c>
      <c r="E142" s="80"/>
      <c r="F142" s="100" t="s">
        <v>147</v>
      </c>
      <c r="G142" s="191" t="s">
        <v>149</v>
      </c>
      <c r="H142" s="191"/>
      <c r="I142" s="116">
        <f>'[1]залишки  (2)'!$G$10/1000</f>
        <v>107557.41569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f>'[1]надх'!$B$52/1000</f>
        <v>5734.391629999999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2" sqref="F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4" t="s">
        <v>212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170" t="s">
        <v>208</v>
      </c>
      <c r="E3" s="170"/>
      <c r="F3" s="171" t="s">
        <v>107</v>
      </c>
      <c r="G3" s="172"/>
      <c r="H3" s="172"/>
      <c r="I3" s="172"/>
      <c r="J3" s="172"/>
      <c r="K3" s="172"/>
      <c r="L3" s="173"/>
      <c r="M3" s="174" t="s">
        <v>210</v>
      </c>
      <c r="N3" s="176" t="s">
        <v>198</v>
      </c>
      <c r="O3" s="176"/>
      <c r="P3" s="176"/>
      <c r="Q3" s="176"/>
      <c r="R3" s="176"/>
    </row>
    <row r="4" spans="1:18" ht="22.5" customHeight="1">
      <c r="A4" s="166"/>
      <c r="B4" s="168"/>
      <c r="C4" s="169"/>
      <c r="D4" s="170"/>
      <c r="E4" s="170"/>
      <c r="F4" s="177" t="s">
        <v>116</v>
      </c>
      <c r="G4" s="179" t="s">
        <v>207</v>
      </c>
      <c r="H4" s="163" t="s">
        <v>195</v>
      </c>
      <c r="I4" s="181" t="s">
        <v>188</v>
      </c>
      <c r="J4" s="183" t="s">
        <v>189</v>
      </c>
      <c r="K4" s="185" t="s">
        <v>196</v>
      </c>
      <c r="L4" s="186"/>
      <c r="M4" s="175"/>
      <c r="N4" s="193" t="s">
        <v>213</v>
      </c>
      <c r="O4" s="181" t="s">
        <v>136</v>
      </c>
      <c r="P4" s="181" t="s">
        <v>135</v>
      </c>
      <c r="Q4" s="185" t="s">
        <v>197</v>
      </c>
      <c r="R4" s="186"/>
    </row>
    <row r="5" spans="1:18" ht="82.5" customHeight="1">
      <c r="A5" s="167"/>
      <c r="B5" s="168"/>
      <c r="C5" s="169"/>
      <c r="D5" s="150" t="s">
        <v>209</v>
      </c>
      <c r="E5" s="158" t="s">
        <v>214</v>
      </c>
      <c r="F5" s="178"/>
      <c r="G5" s="162"/>
      <c r="H5" s="180"/>
      <c r="I5" s="182"/>
      <c r="J5" s="184"/>
      <c r="K5" s="187"/>
      <c r="L5" s="188"/>
      <c r="M5" s="151" t="s">
        <v>211</v>
      </c>
      <c r="N5" s="194"/>
      <c r="O5" s="182"/>
      <c r="P5" s="182"/>
      <c r="Q5" s="187"/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0"/>
      <c r="O138" s="190"/>
    </row>
    <row r="139" spans="3:15" ht="15.75">
      <c r="C139" s="120">
        <v>41726</v>
      </c>
      <c r="D139" s="39">
        <v>4682.6</v>
      </c>
      <c r="F139" s="4" t="s">
        <v>166</v>
      </c>
      <c r="G139" s="191" t="s">
        <v>151</v>
      </c>
      <c r="H139" s="191"/>
      <c r="I139" s="115">
        <v>13825.22196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41725</v>
      </c>
      <c r="D140" s="39">
        <v>3360.7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v>114985.02570999999</v>
      </c>
      <c r="E142" s="80"/>
      <c r="F142" s="100" t="s">
        <v>147</v>
      </c>
      <c r="G142" s="191" t="s">
        <v>149</v>
      </c>
      <c r="H142" s="191"/>
      <c r="I142" s="116">
        <v>101159.80375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v>3918.1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11" sqref="F11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4" t="s">
        <v>193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212" t="s">
        <v>187</v>
      </c>
      <c r="E3" s="46"/>
      <c r="F3" s="213" t="s">
        <v>107</v>
      </c>
      <c r="G3" s="214"/>
      <c r="H3" s="214"/>
      <c r="I3" s="214"/>
      <c r="J3" s="215"/>
      <c r="K3" s="123"/>
      <c r="L3" s="123"/>
      <c r="M3" s="216" t="s">
        <v>190</v>
      </c>
      <c r="N3" s="207" t="s">
        <v>185</v>
      </c>
      <c r="O3" s="207"/>
      <c r="P3" s="207"/>
      <c r="Q3" s="207"/>
      <c r="R3" s="207"/>
    </row>
    <row r="4" spans="1:18" ht="22.5" customHeight="1">
      <c r="A4" s="166"/>
      <c r="B4" s="168"/>
      <c r="C4" s="169"/>
      <c r="D4" s="212"/>
      <c r="E4" s="217" t="s">
        <v>191</v>
      </c>
      <c r="F4" s="208" t="s">
        <v>116</v>
      </c>
      <c r="G4" s="210" t="s">
        <v>167</v>
      </c>
      <c r="H4" s="163" t="s">
        <v>168</v>
      </c>
      <c r="I4" s="205" t="s">
        <v>188</v>
      </c>
      <c r="J4" s="203" t="s">
        <v>189</v>
      </c>
      <c r="K4" s="125" t="s">
        <v>174</v>
      </c>
      <c r="L4" s="130" t="s">
        <v>173</v>
      </c>
      <c r="M4" s="216"/>
      <c r="N4" s="193" t="s">
        <v>194</v>
      </c>
      <c r="O4" s="205" t="s">
        <v>136</v>
      </c>
      <c r="P4" s="207" t="s">
        <v>135</v>
      </c>
      <c r="Q4" s="131" t="s">
        <v>174</v>
      </c>
      <c r="R4" s="132" t="s">
        <v>173</v>
      </c>
    </row>
    <row r="5" spans="1:18" ht="82.5" customHeight="1">
      <c r="A5" s="167"/>
      <c r="B5" s="168"/>
      <c r="C5" s="169"/>
      <c r="D5" s="212"/>
      <c r="E5" s="218"/>
      <c r="F5" s="209"/>
      <c r="G5" s="211"/>
      <c r="H5" s="180"/>
      <c r="I5" s="206"/>
      <c r="J5" s="204"/>
      <c r="K5" s="187" t="s">
        <v>184</v>
      </c>
      <c r="L5" s="188"/>
      <c r="M5" s="216"/>
      <c r="N5" s="194"/>
      <c r="O5" s="206"/>
      <c r="P5" s="207"/>
      <c r="Q5" s="187" t="s">
        <v>199</v>
      </c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0"/>
      <c r="O138" s="190"/>
    </row>
    <row r="139" spans="3:15" ht="15.75">
      <c r="C139" s="120">
        <v>41697</v>
      </c>
      <c r="D139" s="39">
        <v>2276.8</v>
      </c>
      <c r="F139" s="4" t="s">
        <v>166</v>
      </c>
      <c r="G139" s="191" t="s">
        <v>151</v>
      </c>
      <c r="H139" s="191"/>
      <c r="I139" s="115">
        <v>13825.22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41696</v>
      </c>
      <c r="D140" s="39">
        <v>3746.1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f>'[1]залишки  (2)'!$G$8/1000</f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v>121970.53</v>
      </c>
      <c r="E142" s="80"/>
      <c r="F142" s="100" t="s">
        <v>147</v>
      </c>
      <c r="G142" s="191" t="s">
        <v>149</v>
      </c>
      <c r="H142" s="191"/>
      <c r="I142" s="116">
        <v>108145.31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v>0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212" t="s">
        <v>192</v>
      </c>
      <c r="E3" s="46"/>
      <c r="F3" s="213" t="s">
        <v>107</v>
      </c>
      <c r="G3" s="214"/>
      <c r="H3" s="214"/>
      <c r="I3" s="214"/>
      <c r="J3" s="215"/>
      <c r="K3" s="123"/>
      <c r="L3" s="123"/>
      <c r="M3" s="183" t="s">
        <v>200</v>
      </c>
      <c r="N3" s="207" t="s">
        <v>178</v>
      </c>
      <c r="O3" s="207"/>
      <c r="P3" s="207"/>
      <c r="Q3" s="207"/>
      <c r="R3" s="207"/>
    </row>
    <row r="4" spans="1:18" ht="22.5" customHeight="1">
      <c r="A4" s="166"/>
      <c r="B4" s="168"/>
      <c r="C4" s="169"/>
      <c r="D4" s="212"/>
      <c r="E4" s="217" t="s">
        <v>153</v>
      </c>
      <c r="F4" s="208" t="s">
        <v>116</v>
      </c>
      <c r="G4" s="210" t="s">
        <v>175</v>
      </c>
      <c r="H4" s="163" t="s">
        <v>176</v>
      </c>
      <c r="I4" s="205" t="s">
        <v>188</v>
      </c>
      <c r="J4" s="203" t="s">
        <v>189</v>
      </c>
      <c r="K4" s="125" t="s">
        <v>174</v>
      </c>
      <c r="L4" s="130" t="s">
        <v>173</v>
      </c>
      <c r="M4" s="219"/>
      <c r="N4" s="193" t="s">
        <v>186</v>
      </c>
      <c r="O4" s="205" t="s">
        <v>136</v>
      </c>
      <c r="P4" s="207" t="s">
        <v>135</v>
      </c>
      <c r="Q4" s="131" t="s">
        <v>174</v>
      </c>
      <c r="R4" s="132" t="s">
        <v>173</v>
      </c>
    </row>
    <row r="5" spans="1:18" ht="82.5" customHeight="1">
      <c r="A5" s="167"/>
      <c r="B5" s="168"/>
      <c r="C5" s="169"/>
      <c r="D5" s="212"/>
      <c r="E5" s="218"/>
      <c r="F5" s="209"/>
      <c r="G5" s="211"/>
      <c r="H5" s="180"/>
      <c r="I5" s="206"/>
      <c r="J5" s="204"/>
      <c r="K5" s="187" t="s">
        <v>177</v>
      </c>
      <c r="L5" s="188"/>
      <c r="M5" s="184"/>
      <c r="N5" s="194"/>
      <c r="O5" s="206"/>
      <c r="P5" s="207"/>
      <c r="Q5" s="187" t="s">
        <v>179</v>
      </c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0"/>
      <c r="O138" s="190"/>
    </row>
    <row r="139" spans="3:15" ht="15.75">
      <c r="C139" s="120">
        <v>41669</v>
      </c>
      <c r="D139" s="39">
        <v>4752.2</v>
      </c>
      <c r="F139" s="4" t="s">
        <v>166</v>
      </c>
      <c r="G139" s="191" t="s">
        <v>151</v>
      </c>
      <c r="H139" s="191"/>
      <c r="I139" s="115">
        <v>13825.22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41668</v>
      </c>
      <c r="D140" s="39">
        <v>1984.7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v>111410.62</v>
      </c>
      <c r="E142" s="80"/>
      <c r="F142" s="100" t="s">
        <v>147</v>
      </c>
      <c r="G142" s="191" t="s">
        <v>149</v>
      </c>
      <c r="H142" s="191"/>
      <c r="I142" s="116">
        <v>97585.4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v>0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2014-04-22T12:54:52Z</cp:lastPrinted>
  <dcterms:created xsi:type="dcterms:W3CDTF">2003-07-28T11:27:56Z</dcterms:created>
  <dcterms:modified xsi:type="dcterms:W3CDTF">2014-04-24T11:46:46Z</dcterms:modified>
  <cp:category/>
  <cp:version/>
  <cp:contentType/>
  <cp:contentStatus/>
</cp:coreProperties>
</file>